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fi\OneDrive\Documentos\UNC\Contabilidad Superior\"/>
    </mc:Choice>
  </mc:AlternateContent>
  <xr:revisionPtr revIDLastSave="0" documentId="8_{60DB279E-683E-45E3-8E13-147207CC230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" sheetId="2" r:id="rId1"/>
    <sheet name="C" sheetId="1" r:id="rId2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" i="1" l="1"/>
  <c r="J20" i="1"/>
  <c r="I20" i="1"/>
  <c r="K13" i="1" l="1"/>
  <c r="K16" i="1" s="1"/>
  <c r="J13" i="1"/>
  <c r="J16" i="1" s="1"/>
  <c r="I13" i="1"/>
  <c r="I16" i="1" s="1"/>
  <c r="H13" i="1"/>
  <c r="H16" i="1" s="1"/>
  <c r="G13" i="1"/>
  <c r="G16" i="1" s="1"/>
  <c r="F13" i="1"/>
  <c r="F16" i="1" s="1"/>
  <c r="E13" i="1"/>
  <c r="E16" i="1" s="1"/>
  <c r="D13" i="1"/>
  <c r="D16" i="1" s="1"/>
  <c r="C13" i="1"/>
  <c r="C16" i="1" s="1"/>
  <c r="B13" i="1"/>
  <c r="B16" i="1"/>
  <c r="E6" i="2"/>
  <c r="E9" i="2" s="1"/>
  <c r="C6" i="2"/>
  <c r="C9" i="2" s="1"/>
  <c r="C15" i="2" s="1"/>
  <c r="D23" i="2"/>
  <c r="D6" i="2"/>
  <c r="D9" i="2" s="1"/>
  <c r="B10" i="2"/>
  <c r="B6" i="2"/>
  <c r="B9" i="2" s="1"/>
  <c r="E15" i="2" l="1"/>
  <c r="B15" i="2"/>
  <c r="B16" i="2" s="1"/>
  <c r="B11" i="2"/>
  <c r="B12" i="2" s="1"/>
  <c r="B13" i="2" s="1"/>
  <c r="D15" i="2"/>
  <c r="D10" i="2" l="1"/>
  <c r="D11" i="2"/>
  <c r="D12" i="2" s="1"/>
  <c r="D13" i="2" s="1"/>
  <c r="D16" i="2"/>
  <c r="D27" i="2" s="1"/>
  <c r="D3" i="2" s="1"/>
  <c r="D29" i="2"/>
  <c r="D25" i="2" s="1"/>
  <c r="D26" i="2" s="1"/>
  <c r="D22" i="2" l="1"/>
  <c r="B18" i="1" s="1"/>
  <c r="B22" i="2" l="1"/>
  <c r="C22" i="2"/>
  <c r="E22" i="2" l="1"/>
  <c r="B19" i="1"/>
  <c r="C10" i="2" l="1"/>
  <c r="E10" i="2"/>
  <c r="C11" i="2"/>
  <c r="E11" i="2"/>
  <c r="C12" i="2"/>
  <c r="E12" i="2"/>
  <c r="C13" i="2"/>
  <c r="E13" i="2"/>
  <c r="C16" i="2"/>
  <c r="E16" i="2"/>
  <c r="B21" i="2"/>
  <c r="C21" i="2"/>
  <c r="E21" i="2"/>
  <c r="B23" i="2"/>
  <c r="C23" i="2"/>
  <c r="E23" i="2"/>
  <c r="B25" i="2"/>
  <c r="C25" i="2"/>
  <c r="E25" i="2"/>
  <c r="B26" i="2"/>
  <c r="C26" i="2"/>
  <c r="E26" i="2"/>
  <c r="B27" i="2"/>
  <c r="C27" i="2"/>
  <c r="E27" i="2"/>
  <c r="C28" i="2"/>
  <c r="E28" i="2"/>
  <c r="B29" i="2"/>
  <c r="C29" i="2"/>
  <c r="E29" i="2"/>
  <c r="B11" i="1"/>
  <c r="C11" i="1"/>
  <c r="D11" i="1"/>
  <c r="E11" i="1"/>
  <c r="F11" i="1"/>
  <c r="G11" i="1"/>
  <c r="H11" i="1"/>
  <c r="I11" i="1"/>
  <c r="J11" i="1"/>
  <c r="K11" i="1"/>
  <c r="B12" i="1"/>
  <c r="C12" i="1"/>
  <c r="D12" i="1"/>
  <c r="E12" i="1"/>
  <c r="F12" i="1"/>
  <c r="G12" i="1"/>
  <c r="H12" i="1"/>
  <c r="I12" i="1"/>
  <c r="J12" i="1"/>
  <c r="K12" i="1"/>
  <c r="B14" i="1"/>
  <c r="C14" i="1"/>
  <c r="D14" i="1"/>
  <c r="E14" i="1"/>
  <c r="F14" i="1"/>
  <c r="G14" i="1"/>
  <c r="H14" i="1"/>
  <c r="I14" i="1"/>
  <c r="J14" i="1"/>
  <c r="K14" i="1"/>
  <c r="B17" i="1"/>
  <c r="C17" i="1"/>
  <c r="D17" i="1"/>
  <c r="E17" i="1"/>
  <c r="F17" i="1"/>
  <c r="G17" i="1"/>
  <c r="H17" i="1"/>
  <c r="I17" i="1"/>
  <c r="J17" i="1"/>
  <c r="K17" i="1"/>
  <c r="C18" i="1"/>
  <c r="D18" i="1"/>
  <c r="E18" i="1"/>
  <c r="F18" i="1"/>
  <c r="G18" i="1"/>
  <c r="H18" i="1"/>
  <c r="I18" i="1"/>
  <c r="J18" i="1"/>
  <c r="K18" i="1"/>
  <c r="C19" i="1"/>
  <c r="D19" i="1"/>
  <c r="E19" i="1"/>
  <c r="F19" i="1"/>
  <c r="G19" i="1"/>
  <c r="H19" i="1"/>
  <c r="I19" i="1"/>
  <c r="J19" i="1"/>
  <c r="K19" i="1"/>
  <c r="B21" i="1"/>
  <c r="C21" i="1"/>
  <c r="D21" i="1"/>
  <c r="E21" i="1"/>
  <c r="F21" i="1"/>
  <c r="G21" i="1"/>
  <c r="H21" i="1"/>
  <c r="I21" i="1"/>
  <c r="J21" i="1"/>
  <c r="K21" i="1"/>
  <c r="B22" i="1"/>
  <c r="C22" i="1"/>
  <c r="D22" i="1"/>
  <c r="E22" i="1"/>
  <c r="F22" i="1"/>
  <c r="G22" i="1"/>
  <c r="H22" i="1"/>
  <c r="I22" i="1"/>
  <c r="J22" i="1"/>
  <c r="K22" i="1"/>
  <c r="B23" i="1"/>
  <c r="C23" i="1"/>
  <c r="D23" i="1"/>
  <c r="E23" i="1"/>
  <c r="F23" i="1"/>
  <c r="G23" i="1"/>
  <c r="H23" i="1"/>
  <c r="I23" i="1"/>
  <c r="J23" i="1"/>
  <c r="K23" i="1"/>
  <c r="B24" i="1"/>
  <c r="C24" i="1"/>
  <c r="D24" i="1"/>
  <c r="E24" i="1"/>
  <c r="F24" i="1"/>
  <c r="G24" i="1"/>
  <c r="H24" i="1"/>
  <c r="I24" i="1"/>
  <c r="J24" i="1"/>
  <c r="K24" i="1"/>
</calcChain>
</file>

<file path=xl/sharedStrings.xml><?xml version="1.0" encoding="utf-8"?>
<sst xmlns="http://schemas.openxmlformats.org/spreadsheetml/2006/main" count="81" uniqueCount="59">
  <si>
    <t>Deuda</t>
  </si>
  <si>
    <t>Intereses</t>
  </si>
  <si>
    <t>EBIT</t>
  </si>
  <si>
    <t>FCF</t>
  </si>
  <si>
    <t>ECF</t>
  </si>
  <si>
    <t>WACC</t>
  </si>
  <si>
    <t>V = FCF/WACC</t>
  </si>
  <si>
    <t>Ventas</t>
  </si>
  <si>
    <t>Costo de ventas</t>
  </si>
  <si>
    <t>Utilidad Bruta</t>
  </si>
  <si>
    <t>Gastos de Administración</t>
  </si>
  <si>
    <t>Gastos de Comercialización</t>
  </si>
  <si>
    <t>EBT</t>
  </si>
  <si>
    <t>Impuestos (40%)</t>
  </si>
  <si>
    <t>Utilidad Neta</t>
  </si>
  <si>
    <r>
      <t>R</t>
    </r>
    <r>
      <rPr>
        <vertAlign val="subscript"/>
        <sz val="11"/>
        <color theme="1"/>
        <rFont val="Arial"/>
        <family val="2"/>
      </rPr>
      <t>M</t>
    </r>
  </si>
  <si>
    <r>
      <t>R</t>
    </r>
    <r>
      <rPr>
        <vertAlign val="subscript"/>
        <sz val="11"/>
        <color theme="1"/>
        <rFont val="Arial"/>
        <family val="2"/>
      </rPr>
      <t>F</t>
    </r>
  </si>
  <si>
    <r>
      <t>β</t>
    </r>
    <r>
      <rPr>
        <vertAlign val="subscript"/>
        <sz val="11"/>
        <color theme="1"/>
        <rFont val="Calibri"/>
        <family val="2"/>
      </rPr>
      <t>e</t>
    </r>
  </si>
  <si>
    <r>
      <t>K</t>
    </r>
    <r>
      <rPr>
        <vertAlign val="subscript"/>
        <sz val="11"/>
        <color theme="1"/>
        <rFont val="Arial"/>
        <family val="2"/>
      </rPr>
      <t>e</t>
    </r>
  </si>
  <si>
    <r>
      <t>β</t>
    </r>
    <r>
      <rPr>
        <vertAlign val="subscript"/>
        <sz val="11"/>
        <color theme="1"/>
        <rFont val="Calibri"/>
        <family val="2"/>
      </rPr>
      <t>u</t>
    </r>
  </si>
  <si>
    <r>
      <t>K</t>
    </r>
    <r>
      <rPr>
        <vertAlign val="subscript"/>
        <sz val="11"/>
        <color theme="1"/>
        <rFont val="Arial"/>
        <family val="2"/>
      </rPr>
      <t>d</t>
    </r>
  </si>
  <si>
    <r>
      <t>E (K</t>
    </r>
    <r>
      <rPr>
        <vertAlign val="subscript"/>
        <sz val="11"/>
        <color theme="1"/>
        <rFont val="Calibri"/>
        <family val="2"/>
      </rPr>
      <t>e</t>
    </r>
    <r>
      <rPr>
        <sz val="11"/>
        <color theme="1"/>
        <rFont val="Calibri"/>
        <family val="2"/>
      </rPr>
      <t>)</t>
    </r>
  </si>
  <si>
    <t>T</t>
  </si>
  <si>
    <t>D</t>
  </si>
  <si>
    <t>EBIT - (EBIT *T)</t>
  </si>
  <si>
    <t>FCF - Intereses + Tax Shield</t>
  </si>
  <si>
    <t>D/V</t>
  </si>
  <si>
    <r>
      <t>R</t>
    </r>
    <r>
      <rPr>
        <vertAlign val="subscript"/>
        <sz val="11"/>
        <color theme="1"/>
        <rFont val="Arial"/>
        <family val="2"/>
      </rPr>
      <t>f</t>
    </r>
    <r>
      <rPr>
        <sz val="11"/>
        <color theme="1"/>
        <rFont val="Arial"/>
        <family val="2"/>
      </rPr>
      <t>+β</t>
    </r>
    <r>
      <rPr>
        <vertAlign val="sub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>*(R</t>
    </r>
    <r>
      <rPr>
        <vertAlign val="subscript"/>
        <sz val="11"/>
        <color theme="1"/>
        <rFont val="Arial"/>
        <family val="2"/>
      </rPr>
      <t>M</t>
    </r>
    <r>
      <rPr>
        <sz val="11"/>
        <color theme="1"/>
        <rFont val="Arial"/>
        <family val="2"/>
      </rPr>
      <t>-R</t>
    </r>
    <r>
      <rPr>
        <vertAlign val="subscript"/>
        <sz val="11"/>
        <color theme="1"/>
        <rFont val="Arial"/>
        <family val="2"/>
      </rPr>
      <t>F</t>
    </r>
    <r>
      <rPr>
        <sz val="11"/>
        <color theme="1"/>
        <rFont val="Arial"/>
        <family val="2"/>
      </rPr>
      <t>)</t>
    </r>
  </si>
  <si>
    <r>
      <t>K</t>
    </r>
    <r>
      <rPr>
        <vertAlign val="sub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>*(E/V)+K</t>
    </r>
    <r>
      <rPr>
        <vertAlign val="subscript"/>
        <sz val="11"/>
        <color theme="1"/>
        <rFont val="Arial"/>
        <family val="2"/>
      </rPr>
      <t>d</t>
    </r>
    <r>
      <rPr>
        <sz val="11"/>
        <color theme="1"/>
        <rFont val="Arial"/>
        <family val="2"/>
      </rPr>
      <t>*(D/V)*(1-t)</t>
    </r>
  </si>
  <si>
    <r>
      <t>β</t>
    </r>
    <r>
      <rPr>
        <vertAlign val="subscript"/>
        <sz val="11"/>
        <color theme="1"/>
        <rFont val="Arial"/>
        <family val="2"/>
      </rPr>
      <t>u</t>
    </r>
    <r>
      <rPr>
        <sz val="11"/>
        <color theme="1"/>
        <rFont val="Arial"/>
        <family val="2"/>
      </rPr>
      <t>*(1+(1-T)*D/E)</t>
    </r>
  </si>
  <si>
    <r>
      <t>ECF/K</t>
    </r>
    <r>
      <rPr>
        <vertAlign val="subscript"/>
        <sz val="11"/>
        <color theme="1"/>
        <rFont val="Arial"/>
        <family val="2"/>
      </rPr>
      <t>e</t>
    </r>
  </si>
  <si>
    <t>Cobertura (EBIT/Int.)</t>
  </si>
  <si>
    <t>EBIT/Intereses</t>
  </si>
  <si>
    <t>Calificación</t>
  </si>
  <si>
    <t>Prima (%)</t>
  </si>
  <si>
    <t>Desde</t>
  </si>
  <si>
    <t>Hasta</t>
  </si>
  <si>
    <t>C</t>
  </si>
  <si>
    <t>CC</t>
  </si>
  <si>
    <t>CCC</t>
  </si>
  <si>
    <t>B</t>
  </si>
  <si>
    <t>BB</t>
  </si>
  <si>
    <t>BBB</t>
  </si>
  <si>
    <t>A</t>
  </si>
  <si>
    <t>AA</t>
  </si>
  <si>
    <t>AAA</t>
  </si>
  <si>
    <r>
      <t>V = ECF/K</t>
    </r>
    <r>
      <rPr>
        <b/>
        <vertAlign val="subscript"/>
        <sz val="11"/>
        <color theme="0"/>
        <rFont val="Calibri"/>
        <family val="2"/>
      </rPr>
      <t>e</t>
    </r>
    <r>
      <rPr>
        <b/>
        <sz val="11"/>
        <color theme="0"/>
        <rFont val="Calibri"/>
        <family val="2"/>
      </rPr>
      <t xml:space="preserve"> + D</t>
    </r>
  </si>
  <si>
    <t>DETERMINACIÓN DE LA ESTRUCTURA DE CAPITAL ÓPTIMA</t>
  </si>
  <si>
    <t>Información financiera y de mercado</t>
  </si>
  <si>
    <t>Alícuota impositiva</t>
  </si>
  <si>
    <t>Tasa libre de riesgo</t>
  </si>
  <si>
    <t>Rendimiento del Mercado</t>
  </si>
  <si>
    <t xml:space="preserve">Beta </t>
  </si>
  <si>
    <r>
      <t>β</t>
    </r>
    <r>
      <rPr>
        <vertAlign val="subscript"/>
        <sz val="11"/>
        <color theme="1"/>
        <rFont val="Arial"/>
        <family val="2"/>
      </rPr>
      <t>e</t>
    </r>
  </si>
  <si>
    <r>
      <t>E (K</t>
    </r>
    <r>
      <rPr>
        <vertAlign val="sub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>)</t>
    </r>
  </si>
  <si>
    <r>
      <t>K</t>
    </r>
    <r>
      <rPr>
        <vertAlign val="subscript"/>
        <sz val="12"/>
        <color rgb="FF000000"/>
        <rFont val="Arial"/>
        <family val="2"/>
      </rPr>
      <t>d</t>
    </r>
    <r>
      <rPr>
        <sz val="12"/>
        <color rgb="FF000000"/>
        <rFont val="Arial"/>
        <family val="2"/>
      </rPr>
      <t xml:space="preserve"> (%)</t>
    </r>
  </si>
  <si>
    <r>
      <t>V = ECF/K</t>
    </r>
    <r>
      <rPr>
        <b/>
        <vertAlign val="subscript"/>
        <sz val="11"/>
        <color theme="0"/>
        <rFont val="Arial"/>
        <family val="2"/>
      </rPr>
      <t>e</t>
    </r>
    <r>
      <rPr>
        <b/>
        <sz val="11"/>
        <color theme="0"/>
        <rFont val="Arial"/>
        <family val="2"/>
      </rPr>
      <t xml:space="preserve"> + D</t>
    </r>
  </si>
  <si>
    <t>Standard &amp; Poor's Credit Rating</t>
  </si>
  <si>
    <t xml:space="preserve">Alcorta SA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</si>
</sst>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00"/>
    <numFmt numFmtId="166" formatCode="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2"/>
      <color rgb="FF000000"/>
      <name val="Arial"/>
      <family val="2"/>
    </font>
    <font>
      <b/>
      <sz val="11"/>
      <color theme="1"/>
      <name val="Arial"/>
      <family val="2"/>
    </font>
    <font>
      <vertAlign val="subscript"/>
      <sz val="11"/>
      <color theme="1"/>
      <name val="Arial"/>
      <family val="2"/>
    </font>
    <font>
      <vertAlign val="subscript"/>
      <sz val="11"/>
      <color theme="1"/>
      <name val="Calibri"/>
      <family val="2"/>
    </font>
    <font>
      <b/>
      <sz val="11"/>
      <color theme="0"/>
      <name val="Calibri"/>
      <family val="2"/>
    </font>
    <font>
      <b/>
      <vertAlign val="subscript"/>
      <sz val="11"/>
      <color theme="0"/>
      <name val="Calibri"/>
      <family val="2"/>
    </font>
    <font>
      <b/>
      <sz val="11"/>
      <color theme="0"/>
      <name val="Arial"/>
      <family val="2"/>
    </font>
    <font>
      <b/>
      <sz val="14"/>
      <color theme="1"/>
      <name val="Arial"/>
      <family val="2"/>
    </font>
    <font>
      <vertAlign val="subscript"/>
      <sz val="12"/>
      <color rgb="FF000000"/>
      <name val="Arial"/>
      <family val="2"/>
    </font>
    <font>
      <b/>
      <vertAlign val="subscript"/>
      <sz val="11"/>
      <color theme="0"/>
      <name val="Arial"/>
      <family val="2"/>
    </font>
    <font>
      <i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9" fontId="3" fillId="0" borderId="0" xfId="0" applyNumberFormat="1" applyFont="1"/>
    <xf numFmtId="10" fontId="3" fillId="0" borderId="0" xfId="1" applyNumberFormat="1" applyFont="1"/>
    <xf numFmtId="3" fontId="3" fillId="0" borderId="0" xfId="0" applyNumberFormat="1" applyFont="1"/>
    <xf numFmtId="3" fontId="5" fillId="0" borderId="0" xfId="0" applyNumberFormat="1" applyFont="1"/>
    <xf numFmtId="165" fontId="3" fillId="0" borderId="0" xfId="0" applyNumberFormat="1" applyFont="1"/>
    <xf numFmtId="2" fontId="3" fillId="0" borderId="0" xfId="0" applyNumberFormat="1" applyFont="1"/>
    <xf numFmtId="166" fontId="3" fillId="0" borderId="0" xfId="0" applyNumberFormat="1" applyFont="1"/>
    <xf numFmtId="1" fontId="3" fillId="0" borderId="0" xfId="0" applyNumberFormat="1" applyFont="1"/>
    <xf numFmtId="3" fontId="3" fillId="0" borderId="3" xfId="0" applyNumberFormat="1" applyFont="1" applyBorder="1"/>
    <xf numFmtId="0" fontId="3" fillId="0" borderId="3" xfId="0" applyFont="1" applyBorder="1"/>
    <xf numFmtId="165" fontId="3" fillId="0" borderId="3" xfId="0" applyNumberFormat="1" applyFont="1" applyBorder="1"/>
    <xf numFmtId="10" fontId="3" fillId="0" borderId="3" xfId="1" applyNumberFormat="1" applyFont="1" applyBorder="1"/>
    <xf numFmtId="3" fontId="3" fillId="0" borderId="4" xfId="0" applyNumberFormat="1" applyFont="1" applyBorder="1"/>
    <xf numFmtId="3" fontId="3" fillId="3" borderId="3" xfId="0" applyNumberFormat="1" applyFont="1" applyFill="1" applyBorder="1"/>
    <xf numFmtId="3" fontId="5" fillId="3" borderId="3" xfId="0" applyNumberFormat="1" applyFont="1" applyFill="1" applyBorder="1"/>
    <xf numFmtId="0" fontId="3" fillId="3" borderId="3" xfId="0" applyFont="1" applyFill="1" applyBorder="1"/>
    <xf numFmtId="9" fontId="3" fillId="3" borderId="3" xfId="0" applyNumberFormat="1" applyFont="1" applyFill="1" applyBorder="1"/>
    <xf numFmtId="165" fontId="3" fillId="3" borderId="3" xfId="0" applyNumberFormat="1" applyFont="1" applyFill="1" applyBorder="1"/>
    <xf numFmtId="10" fontId="3" fillId="3" borderId="3" xfId="1" applyNumberFormat="1" applyFont="1" applyFill="1" applyBorder="1"/>
    <xf numFmtId="3" fontId="3" fillId="3" borderId="4" xfId="0" applyNumberFormat="1" applyFont="1" applyFill="1" applyBorder="1"/>
    <xf numFmtId="0" fontId="8" fillId="4" borderId="0" xfId="0" applyFont="1" applyFill="1"/>
    <xf numFmtId="3" fontId="10" fillId="4" borderId="0" xfId="0" applyNumberFormat="1" applyFont="1" applyFill="1"/>
    <xf numFmtId="3" fontId="10" fillId="4" borderId="3" xfId="0" applyNumberFormat="1" applyFont="1" applyFill="1" applyBorder="1"/>
    <xf numFmtId="0" fontId="5" fillId="2" borderId="5" xfId="0" applyFont="1" applyFill="1" applyBorder="1" applyAlignment="1">
      <alignment vertical="center"/>
    </xf>
    <xf numFmtId="9" fontId="5" fillId="2" borderId="6" xfId="0" applyNumberFormat="1" applyFont="1" applyFill="1" applyBorder="1" applyAlignment="1">
      <alignment horizontal="center" vertical="center" wrapText="1"/>
    </xf>
    <xf numFmtId="9" fontId="5" fillId="2" borderId="1" xfId="0" applyNumberFormat="1" applyFont="1" applyFill="1" applyBorder="1" applyAlignment="1">
      <alignment horizontal="center" vertical="center" wrapText="1"/>
    </xf>
    <xf numFmtId="9" fontId="5" fillId="2" borderId="7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3" fillId="0" borderId="0" xfId="0" applyFont="1" applyAlignment="1">
      <alignment horizontal="center"/>
    </xf>
    <xf numFmtId="164" fontId="3" fillId="0" borderId="0" xfId="0" applyNumberFormat="1" applyFont="1"/>
    <xf numFmtId="10" fontId="3" fillId="0" borderId="0" xfId="0" applyNumberFormat="1" applyFont="1"/>
    <xf numFmtId="1" fontId="3" fillId="0" borderId="3" xfId="0" applyNumberFormat="1" applyFont="1" applyBorder="1"/>
    <xf numFmtId="10" fontId="3" fillId="0" borderId="3" xfId="0" applyNumberFormat="1" applyFont="1" applyBorder="1"/>
    <xf numFmtId="9" fontId="5" fillId="5" borderId="6" xfId="0" applyNumberFormat="1" applyFont="1" applyFill="1" applyBorder="1" applyAlignment="1">
      <alignment horizontal="center" vertical="center"/>
    </xf>
    <xf numFmtId="9" fontId="5" fillId="5" borderId="1" xfId="0" applyNumberFormat="1" applyFont="1" applyFill="1" applyBorder="1" applyAlignment="1">
      <alignment horizontal="center" vertical="center"/>
    </xf>
    <xf numFmtId="9" fontId="5" fillId="5" borderId="7" xfId="0" applyNumberFormat="1" applyFont="1" applyFill="1" applyBorder="1" applyAlignment="1">
      <alignment horizontal="center" vertical="center"/>
    </xf>
    <xf numFmtId="0" fontId="10" fillId="4" borderId="0" xfId="0" applyFont="1" applyFill="1"/>
    <xf numFmtId="0" fontId="5" fillId="5" borderId="5" xfId="0" applyFont="1" applyFill="1" applyBorder="1" applyAlignment="1">
      <alignment vertical="center"/>
    </xf>
    <xf numFmtId="2" fontId="3" fillId="0" borderId="3" xfId="0" applyNumberFormat="1" applyFont="1" applyBorder="1"/>
    <xf numFmtId="0" fontId="3" fillId="0" borderId="3" xfId="0" applyFont="1" applyBorder="1" applyAlignment="1">
      <alignment horizontal="center"/>
    </xf>
    <xf numFmtId="164" fontId="3" fillId="0" borderId="3" xfId="0" applyNumberFormat="1" applyFont="1" applyBorder="1"/>
    <xf numFmtId="0" fontId="14" fillId="0" borderId="0" xfId="0" applyFont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tabSelected="1" workbookViewId="0"/>
  </sheetViews>
  <sheetFormatPr baseColWidth="10" defaultColWidth="11.44140625" defaultRowHeight="13.8" x14ac:dyDescent="0.25"/>
  <cols>
    <col min="1" max="1" width="32" style="2" customWidth="1"/>
    <col min="2" max="3" width="13.6640625" style="2" customWidth="1"/>
    <col min="4" max="16384" width="11.44140625" style="2"/>
  </cols>
  <sheetData>
    <row r="1" spans="1:7" ht="17.399999999999999" x14ac:dyDescent="0.3">
      <c r="A1" s="31" t="s">
        <v>58</v>
      </c>
    </row>
    <row r="3" spans="1:7" ht="33" customHeight="1" x14ac:dyDescent="0.25">
      <c r="A3" s="27" t="s">
        <v>26</v>
      </c>
      <c r="B3" s="28">
        <v>0</v>
      </c>
      <c r="C3" s="28">
        <v>0.5</v>
      </c>
      <c r="D3" s="29">
        <f>D28/D27</f>
        <v>0.5982142857142857</v>
      </c>
      <c r="E3" s="30">
        <v>0.8</v>
      </c>
    </row>
    <row r="4" spans="1:7" x14ac:dyDescent="0.25">
      <c r="A4" s="2" t="s">
        <v>7</v>
      </c>
      <c r="B4" s="6">
        <v>1350</v>
      </c>
      <c r="C4" s="6">
        <v>1350</v>
      </c>
      <c r="D4" s="17">
        <v>1350</v>
      </c>
      <c r="E4" s="6">
        <v>1350</v>
      </c>
    </row>
    <row r="5" spans="1:7" x14ac:dyDescent="0.25">
      <c r="A5" s="2" t="s">
        <v>8</v>
      </c>
      <c r="B5" s="6">
        <v>835</v>
      </c>
      <c r="C5" s="6">
        <v>835</v>
      </c>
      <c r="D5" s="17">
        <v>835</v>
      </c>
      <c r="E5" s="6">
        <v>835</v>
      </c>
    </row>
    <row r="6" spans="1:7" x14ac:dyDescent="0.25">
      <c r="A6" s="3" t="s">
        <v>9</v>
      </c>
      <c r="B6" s="7">
        <f>+B4-B5</f>
        <v>515</v>
      </c>
      <c r="C6" s="7">
        <f>+C4-C5</f>
        <v>515</v>
      </c>
      <c r="D6" s="18">
        <f>+D4-D5</f>
        <v>515</v>
      </c>
      <c r="E6" s="7">
        <f>+E4-E5</f>
        <v>515</v>
      </c>
    </row>
    <row r="7" spans="1:7" x14ac:dyDescent="0.25">
      <c r="A7" s="2" t="s">
        <v>10</v>
      </c>
      <c r="B7" s="6">
        <v>208</v>
      </c>
      <c r="C7" s="6">
        <v>208</v>
      </c>
      <c r="D7" s="17">
        <v>208</v>
      </c>
      <c r="E7" s="6">
        <v>208</v>
      </c>
    </row>
    <row r="8" spans="1:7" x14ac:dyDescent="0.25">
      <c r="A8" s="2" t="s">
        <v>11</v>
      </c>
      <c r="B8" s="6">
        <v>107</v>
      </c>
      <c r="C8" s="6">
        <v>107</v>
      </c>
      <c r="D8" s="17">
        <v>107</v>
      </c>
      <c r="E8" s="6">
        <v>107</v>
      </c>
    </row>
    <row r="9" spans="1:7" x14ac:dyDescent="0.25">
      <c r="A9" s="3" t="s">
        <v>2</v>
      </c>
      <c r="B9" s="7">
        <f>+B6-B7-B8</f>
        <v>200</v>
      </c>
      <c r="C9" s="7">
        <f>+C6-C7-C8</f>
        <v>200</v>
      </c>
      <c r="D9" s="18">
        <f>+D6-D7-D8</f>
        <v>200</v>
      </c>
      <c r="E9" s="7">
        <f>+E6-E7-E8</f>
        <v>200</v>
      </c>
    </row>
    <row r="10" spans="1:7" x14ac:dyDescent="0.25">
      <c r="A10" s="2" t="s">
        <v>1</v>
      </c>
      <c r="B10" s="6">
        <f>B28*B24</f>
        <v>0</v>
      </c>
      <c r="C10" s="6">
        <f ca="1">C28*C24</f>
        <v>39.738805970149258</v>
      </c>
      <c r="D10" s="17">
        <f>D28*D24</f>
        <v>50</v>
      </c>
      <c r="E10" s="6">
        <f ca="1">E28*E24</f>
        <v>74.802458296751553</v>
      </c>
    </row>
    <row r="11" spans="1:7" x14ac:dyDescent="0.25">
      <c r="A11" s="2" t="s">
        <v>12</v>
      </c>
      <c r="B11" s="6">
        <f>+B9-B10</f>
        <v>200</v>
      </c>
      <c r="C11" s="6">
        <f ca="1">+C9-C10</f>
        <v>160.26119402985074</v>
      </c>
      <c r="D11" s="17">
        <f>+D9-D10</f>
        <v>150</v>
      </c>
      <c r="E11" s="6">
        <f ca="1">+E9-E10</f>
        <v>125.19754170324845</v>
      </c>
    </row>
    <row r="12" spans="1:7" x14ac:dyDescent="0.25">
      <c r="A12" s="2" t="s">
        <v>13</v>
      </c>
      <c r="B12" s="6">
        <f>+B11*B18</f>
        <v>80</v>
      </c>
      <c r="C12" s="6">
        <f ca="1">+C11*C18</f>
        <v>64.104477611940297</v>
      </c>
      <c r="D12" s="17">
        <f>+D11*D18</f>
        <v>60</v>
      </c>
      <c r="E12" s="6">
        <f ca="1">+E11*E18</f>
        <v>50.079016681299379</v>
      </c>
    </row>
    <row r="13" spans="1:7" x14ac:dyDescent="0.25">
      <c r="A13" s="3" t="s">
        <v>14</v>
      </c>
      <c r="B13" s="7">
        <f>+B11-B12</f>
        <v>120</v>
      </c>
      <c r="C13" s="7">
        <f ca="1">+C11-C12</f>
        <v>96.156716417910445</v>
      </c>
      <c r="D13" s="18">
        <f>+D11-D12</f>
        <v>90</v>
      </c>
      <c r="E13" s="7">
        <f ca="1">+E11-E12</f>
        <v>75.118525021949068</v>
      </c>
    </row>
    <row r="14" spans="1:7" x14ac:dyDescent="0.25">
      <c r="D14" s="19"/>
    </row>
    <row r="15" spans="1:7" x14ac:dyDescent="0.25">
      <c r="A15" s="2" t="s">
        <v>3</v>
      </c>
      <c r="B15" s="2">
        <f>B9-(B9*B18)</f>
        <v>120</v>
      </c>
      <c r="C15" s="2">
        <f>C9-(C9*C18)</f>
        <v>120</v>
      </c>
      <c r="D15" s="19">
        <f>D9-(D9*D18)</f>
        <v>120</v>
      </c>
      <c r="E15" s="2">
        <f>E9-(E9*E18)</f>
        <v>120</v>
      </c>
      <c r="G15" s="2" t="s">
        <v>24</v>
      </c>
    </row>
    <row r="16" spans="1:7" x14ac:dyDescent="0.25">
      <c r="A16" s="2" t="s">
        <v>4</v>
      </c>
      <c r="B16" s="2">
        <f>B15-B10+(B10*B18)</f>
        <v>120</v>
      </c>
      <c r="C16" s="11">
        <f ca="1">C15-C10+(C10*C18)</f>
        <v>96.156716417910445</v>
      </c>
      <c r="D16" s="19">
        <f>D15-D10+(D10*D18)</f>
        <v>90</v>
      </c>
      <c r="E16" s="11">
        <f ca="1">E15-E10+(E10*E18)</f>
        <v>75.118525021949068</v>
      </c>
      <c r="G16" s="2" t="s">
        <v>25</v>
      </c>
    </row>
    <row r="17" spans="1:7" hidden="1" x14ac:dyDescent="0.25">
      <c r="B17" s="6"/>
      <c r="C17" s="6"/>
      <c r="D17" s="17"/>
      <c r="E17" s="6"/>
    </row>
    <row r="18" spans="1:7" hidden="1" x14ac:dyDescent="0.25">
      <c r="A18" s="2" t="s">
        <v>22</v>
      </c>
      <c r="B18" s="4">
        <v>0.4</v>
      </c>
      <c r="C18" s="4">
        <v>0.4</v>
      </c>
      <c r="D18" s="20">
        <v>0.4</v>
      </c>
      <c r="E18" s="4">
        <v>0.4</v>
      </c>
    </row>
    <row r="19" spans="1:7" ht="16.2" hidden="1" x14ac:dyDescent="0.35">
      <c r="A19" s="2" t="s">
        <v>16</v>
      </c>
      <c r="B19" s="4">
        <v>0.05</v>
      </c>
      <c r="C19" s="4">
        <v>0.05</v>
      </c>
      <c r="D19" s="20">
        <v>0.05</v>
      </c>
      <c r="E19" s="4">
        <v>0.05</v>
      </c>
    </row>
    <row r="20" spans="1:7" ht="16.2" hidden="1" x14ac:dyDescent="0.35">
      <c r="A20" s="2" t="s">
        <v>15</v>
      </c>
      <c r="B20" s="4">
        <v>0.12</v>
      </c>
      <c r="C20" s="4">
        <v>0.12</v>
      </c>
      <c r="D20" s="20">
        <v>0.12</v>
      </c>
      <c r="E20" s="4">
        <v>0.12</v>
      </c>
    </row>
    <row r="21" spans="1:7" ht="16.2" x14ac:dyDescent="0.35">
      <c r="A21" s="1" t="s">
        <v>17</v>
      </c>
      <c r="B21" s="8">
        <f ca="1">B22*(1+(1-B18)*B28/B29)</f>
        <v>0.63380281690140838</v>
      </c>
      <c r="C21" s="10">
        <f ca="1">C22*(1+(1-C18)*C28/C29)</f>
        <v>1.0140845070422535</v>
      </c>
      <c r="D21" s="19">
        <v>1.2</v>
      </c>
      <c r="E21" s="10">
        <f ca="1">E22*(1+(1-E18)*E28/E29)</f>
        <v>2.1549295774647885</v>
      </c>
      <c r="G21" s="2" t="s">
        <v>29</v>
      </c>
    </row>
    <row r="22" spans="1:7" ht="15.6" x14ac:dyDescent="0.35">
      <c r="A22" s="1" t="s">
        <v>19</v>
      </c>
      <c r="B22" s="8">
        <f>D22</f>
        <v>0.63380281690140838</v>
      </c>
      <c r="C22" s="8">
        <f>D22</f>
        <v>0.63380281690140838</v>
      </c>
      <c r="D22" s="21">
        <f>D21/(1+(1-D18)*(D28/D29))</f>
        <v>0.63380281690140838</v>
      </c>
      <c r="E22" s="8">
        <f>C22</f>
        <v>0.63380281690140838</v>
      </c>
    </row>
    <row r="23" spans="1:7" ht="16.2" x14ac:dyDescent="0.35">
      <c r="A23" s="2" t="s">
        <v>18</v>
      </c>
      <c r="B23" s="5">
        <f ca="1">B19+B21*(B20-B19)</f>
        <v>9.4366197183098577E-2</v>
      </c>
      <c r="C23" s="5">
        <f ca="1">C19+C21*(C20-C19)</f>
        <v>0.12098591549295774</v>
      </c>
      <c r="D23" s="22">
        <f>D19+D21*(D20-D19)</f>
        <v>0.13400000000000001</v>
      </c>
      <c r="E23" s="5">
        <f ca="1">E19+E21*(E20-E19)</f>
        <v>0.20084507042253519</v>
      </c>
      <c r="G23" s="2" t="s">
        <v>27</v>
      </c>
    </row>
    <row r="24" spans="1:7" ht="16.2" x14ac:dyDescent="0.35">
      <c r="A24" s="2" t="s">
        <v>20</v>
      </c>
      <c r="B24" s="4">
        <v>0.05</v>
      </c>
      <c r="C24" s="4">
        <v>0.05</v>
      </c>
      <c r="D24" s="20">
        <v>0.05</v>
      </c>
      <c r="E24" s="4">
        <v>0.05</v>
      </c>
    </row>
    <row r="25" spans="1:7" ht="16.2" x14ac:dyDescent="0.35">
      <c r="A25" s="1" t="s">
        <v>5</v>
      </c>
      <c r="B25" s="5">
        <f ca="1">B23*(B29/(B29+B28))+B24*(B28/(B29+B28))*(1-B18)</f>
        <v>9.4366197183098577E-2</v>
      </c>
      <c r="C25" s="5">
        <f ca="1">C23*(C29/(C29+C28))+C24*(C28/(C29+C28))*(1-C18)</f>
        <v>7.5492957746478864E-2</v>
      </c>
      <c r="D25" s="22">
        <f>D23*(D29/(D29+D28))+D24*(D28/(D29+D28))*(1-D18)</f>
        <v>7.1785714285714286E-2</v>
      </c>
      <c r="E25" s="5">
        <f ca="1">E23*(E29/(E29+E28))+E24*(E28/(E29+E28))*(1-E18)</f>
        <v>6.4169014084507037E-2</v>
      </c>
      <c r="G25" s="2" t="s">
        <v>28</v>
      </c>
    </row>
    <row r="26" spans="1:7" ht="14.4" x14ac:dyDescent="0.3">
      <c r="A26" s="1" t="s">
        <v>6</v>
      </c>
      <c r="B26" s="6">
        <f ca="1">B15/B25</f>
        <v>1271.6417910447763</v>
      </c>
      <c r="C26" s="6">
        <f ca="1">C15/C25</f>
        <v>1589.5522388059703</v>
      </c>
      <c r="D26" s="17">
        <f>D15/D25</f>
        <v>1671.641791044776</v>
      </c>
      <c r="E26" s="6">
        <f ca="1">E15/E25</f>
        <v>1870.0614574187887</v>
      </c>
    </row>
    <row r="27" spans="1:7" ht="15.6" x14ac:dyDescent="0.35">
      <c r="A27" s="24" t="s">
        <v>46</v>
      </c>
      <c r="B27" s="25">
        <f ca="1">B16/B23+B28</f>
        <v>1271.6417910447763</v>
      </c>
      <c r="C27" s="25">
        <f ca="1">C16/C23+C28</f>
        <v>1589.5522388059703</v>
      </c>
      <c r="D27" s="26">
        <f>D16/D23+D28</f>
        <v>1671.641791044776</v>
      </c>
      <c r="E27" s="25">
        <f ca="1">E16/E23+E28</f>
        <v>1870.0614574187887</v>
      </c>
    </row>
    <row r="28" spans="1:7" x14ac:dyDescent="0.25">
      <c r="A28" s="2" t="s">
        <v>23</v>
      </c>
      <c r="B28" s="6">
        <v>0</v>
      </c>
      <c r="C28" s="6">
        <f ca="1">C3*C27</f>
        <v>794.77611940298516</v>
      </c>
      <c r="D28" s="17">
        <v>1000</v>
      </c>
      <c r="E28" s="6">
        <f ca="1">E3*E27</f>
        <v>1496.0491659350309</v>
      </c>
    </row>
    <row r="29" spans="1:7" ht="16.2" x14ac:dyDescent="0.35">
      <c r="A29" s="1" t="s">
        <v>21</v>
      </c>
      <c r="B29" s="6">
        <f ca="1">+B16/B23</f>
        <v>1271.6417910447763</v>
      </c>
      <c r="C29" s="6">
        <f ca="1">+C16/C23</f>
        <v>794.77611940298505</v>
      </c>
      <c r="D29" s="23">
        <f>+D16/D23</f>
        <v>671.64179104477603</v>
      </c>
      <c r="E29" s="6">
        <f ca="1">+E16/E23</f>
        <v>374.01229148375768</v>
      </c>
      <c r="G29" s="2" t="s">
        <v>30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0"/>
  <sheetViews>
    <sheetView workbookViewId="0"/>
  </sheetViews>
  <sheetFormatPr baseColWidth="10" defaultColWidth="11.44140625" defaultRowHeight="13.8" x14ac:dyDescent="0.25"/>
  <cols>
    <col min="1" max="1" width="24.109375" style="2" customWidth="1"/>
    <col min="2" max="16384" width="11.44140625" style="2"/>
  </cols>
  <sheetData>
    <row r="1" spans="1:12" ht="17.399999999999999" x14ac:dyDescent="0.3">
      <c r="A1" s="31" t="s">
        <v>47</v>
      </c>
    </row>
    <row r="2" spans="1:12" ht="14.4" x14ac:dyDescent="0.3">
      <c r="A2" s="45" t="s">
        <v>48</v>
      </c>
    </row>
    <row r="4" spans="1:12" x14ac:dyDescent="0.25">
      <c r="A4" s="2" t="s">
        <v>2</v>
      </c>
      <c r="B4" s="2">
        <v>200</v>
      </c>
    </row>
    <row r="5" spans="1:12" x14ac:dyDescent="0.25">
      <c r="A5" s="2" t="s">
        <v>49</v>
      </c>
      <c r="B5" s="4">
        <v>0.4</v>
      </c>
    </row>
    <row r="6" spans="1:12" x14ac:dyDescent="0.25">
      <c r="A6" s="2" t="s">
        <v>50</v>
      </c>
      <c r="B6" s="4">
        <v>0.05</v>
      </c>
    </row>
    <row r="7" spans="1:12" x14ac:dyDescent="0.25">
      <c r="A7" s="2" t="s">
        <v>51</v>
      </c>
      <c r="B7" s="4">
        <v>0.12</v>
      </c>
    </row>
    <row r="8" spans="1:12" x14ac:dyDescent="0.25">
      <c r="A8" s="2" t="s">
        <v>52</v>
      </c>
      <c r="B8" s="2">
        <v>1.2</v>
      </c>
    </row>
    <row r="10" spans="1:12" ht="27" customHeight="1" x14ac:dyDescent="0.25">
      <c r="A10" s="41" t="s">
        <v>26</v>
      </c>
      <c r="B10" s="37">
        <v>0</v>
      </c>
      <c r="C10" s="37">
        <v>0.1</v>
      </c>
      <c r="D10" s="37">
        <v>0.2</v>
      </c>
      <c r="E10" s="37">
        <v>0.3</v>
      </c>
      <c r="F10" s="37">
        <v>0.4</v>
      </c>
      <c r="G10" s="37">
        <v>0.5</v>
      </c>
      <c r="H10" s="38">
        <v>0.6</v>
      </c>
      <c r="I10" s="37">
        <v>0.7</v>
      </c>
      <c r="J10" s="37">
        <v>0.8</v>
      </c>
      <c r="K10" s="39">
        <v>0.9</v>
      </c>
      <c r="L10" s="4"/>
    </row>
    <row r="11" spans="1:12" x14ac:dyDescent="0.25">
      <c r="A11" s="2" t="s">
        <v>0</v>
      </c>
      <c r="B11" s="6">
        <f t="shared" ref="B11:K11" ca="1" si="0">B10*B23</f>
        <v>0</v>
      </c>
      <c r="C11" s="6">
        <f t="shared" ca="1" si="0"/>
        <v>132.46268656716418</v>
      </c>
      <c r="D11" s="6">
        <f t="shared" ca="1" si="0"/>
        <v>276.44386761842964</v>
      </c>
      <c r="E11" s="6">
        <f t="shared" ca="1" si="0"/>
        <v>433.51424694708277</v>
      </c>
      <c r="F11" s="6">
        <f t="shared" ca="1" si="0"/>
        <v>605.543710021322</v>
      </c>
      <c r="G11" s="6">
        <f t="shared" ca="1" si="0"/>
        <v>794.77611940298516</v>
      </c>
      <c r="H11" s="12">
        <f t="shared" ca="1" si="0"/>
        <v>1003.9277297721919</v>
      </c>
      <c r="I11" s="6">
        <f t="shared" ca="1" si="0"/>
        <v>1042.9126009862553</v>
      </c>
      <c r="J11" s="6">
        <f t="shared" ca="1" si="0"/>
        <v>1221.8557292413595</v>
      </c>
      <c r="K11" s="6">
        <f t="shared" ca="1" si="0"/>
        <v>1410.0240875525594</v>
      </c>
    </row>
    <row r="12" spans="1:12" x14ac:dyDescent="0.25">
      <c r="A12" s="2" t="s">
        <v>1</v>
      </c>
      <c r="B12" s="6">
        <f t="shared" ref="B12:K12" ca="1" si="1">B20*B11</f>
        <v>0</v>
      </c>
      <c r="C12" s="6">
        <f t="shared" ca="1" si="1"/>
        <v>6.6231343283582094</v>
      </c>
      <c r="D12" s="6">
        <f t="shared" ca="1" si="1"/>
        <v>13.822193380921483</v>
      </c>
      <c r="E12" s="6">
        <f t="shared" ca="1" si="1"/>
        <v>21.675712347354139</v>
      </c>
      <c r="F12" s="6">
        <f t="shared" ca="1" si="1"/>
        <v>30.2771855010661</v>
      </c>
      <c r="G12" s="6">
        <f t="shared" ca="1" si="1"/>
        <v>39.738805970149258</v>
      </c>
      <c r="H12" s="12">
        <f t="shared" ca="1" si="1"/>
        <v>50.196386488609598</v>
      </c>
      <c r="I12" s="6">
        <f t="shared" ca="1" si="1"/>
        <v>83.433008078900428</v>
      </c>
      <c r="J12" s="6">
        <f t="shared" ca="1" si="1"/>
        <v>97.748458339308769</v>
      </c>
      <c r="K12" s="6">
        <f t="shared" ca="1" si="1"/>
        <v>112.80192700420476</v>
      </c>
    </row>
    <row r="13" spans="1:12" x14ac:dyDescent="0.25">
      <c r="A13" s="2" t="s">
        <v>2</v>
      </c>
      <c r="B13" s="6">
        <f t="shared" ref="B13:K13" si="2">$B$4</f>
        <v>200</v>
      </c>
      <c r="C13" s="6">
        <f t="shared" si="2"/>
        <v>200</v>
      </c>
      <c r="D13" s="6">
        <f t="shared" si="2"/>
        <v>200</v>
      </c>
      <c r="E13" s="6">
        <f t="shared" si="2"/>
        <v>200</v>
      </c>
      <c r="F13" s="6">
        <f t="shared" si="2"/>
        <v>200</v>
      </c>
      <c r="G13" s="6">
        <f t="shared" si="2"/>
        <v>200</v>
      </c>
      <c r="H13" s="12">
        <f t="shared" si="2"/>
        <v>200</v>
      </c>
      <c r="I13" s="6">
        <f t="shared" si="2"/>
        <v>200</v>
      </c>
      <c r="J13" s="6">
        <f t="shared" si="2"/>
        <v>200</v>
      </c>
      <c r="K13" s="6">
        <f t="shared" si="2"/>
        <v>200</v>
      </c>
    </row>
    <row r="14" spans="1:12" x14ac:dyDescent="0.25">
      <c r="A14" s="2" t="s">
        <v>31</v>
      </c>
      <c r="B14" s="9" t="e">
        <f t="shared" ref="B14:K14" ca="1" si="3">B13/B12</f>
        <v>#DIV/0!</v>
      </c>
      <c r="C14" s="9">
        <f t="shared" ca="1" si="3"/>
        <v>30.197183098591548</v>
      </c>
      <c r="D14" s="9">
        <f t="shared" ca="1" si="3"/>
        <v>14.469483568075114</v>
      </c>
      <c r="E14" s="9">
        <f t="shared" ca="1" si="3"/>
        <v>9.2269170579029733</v>
      </c>
      <c r="F14" s="9">
        <f t="shared" ca="1" si="3"/>
        <v>6.605633802816901</v>
      </c>
      <c r="G14" s="9">
        <f t="shared" ca="1" si="3"/>
        <v>5.032863849765258</v>
      </c>
      <c r="H14" s="42">
        <f t="shared" ca="1" si="3"/>
        <v>3.9843505477308283</v>
      </c>
      <c r="I14" s="9">
        <f t="shared" ca="1" si="3"/>
        <v>2.3971327967806841</v>
      </c>
      <c r="J14" s="9">
        <f t="shared" ca="1" si="3"/>
        <v>2.0460680751173705</v>
      </c>
      <c r="K14" s="9">
        <f t="shared" ca="1" si="3"/>
        <v>1.7730193562433103</v>
      </c>
    </row>
    <row r="15" spans="1:12" x14ac:dyDescent="0.25">
      <c r="A15" s="2" t="s">
        <v>33</v>
      </c>
      <c r="B15" s="32" t="s">
        <v>45</v>
      </c>
      <c r="C15" s="32" t="s">
        <v>45</v>
      </c>
      <c r="D15" s="32" t="s">
        <v>45</v>
      </c>
      <c r="E15" s="32" t="s">
        <v>45</v>
      </c>
      <c r="F15" s="32" t="s">
        <v>45</v>
      </c>
      <c r="G15" s="32" t="s">
        <v>45</v>
      </c>
      <c r="H15" s="43" t="s">
        <v>45</v>
      </c>
      <c r="I15" s="32" t="s">
        <v>43</v>
      </c>
      <c r="J15" s="32" t="s">
        <v>43</v>
      </c>
      <c r="K15" s="32" t="s">
        <v>45</v>
      </c>
    </row>
    <row r="16" spans="1:12" x14ac:dyDescent="0.25">
      <c r="A16" s="2" t="s">
        <v>3</v>
      </c>
      <c r="B16" s="2">
        <f t="shared" ref="B16:K16" si="4">B13-B13*$B$5</f>
        <v>120</v>
      </c>
      <c r="C16" s="2">
        <f t="shared" si="4"/>
        <v>120</v>
      </c>
      <c r="D16" s="2">
        <f t="shared" si="4"/>
        <v>120</v>
      </c>
      <c r="E16" s="2">
        <f t="shared" si="4"/>
        <v>120</v>
      </c>
      <c r="F16" s="2">
        <f t="shared" si="4"/>
        <v>120</v>
      </c>
      <c r="G16" s="2">
        <f t="shared" si="4"/>
        <v>120</v>
      </c>
      <c r="H16" s="13">
        <f t="shared" si="4"/>
        <v>120</v>
      </c>
      <c r="I16" s="2">
        <f t="shared" si="4"/>
        <v>120</v>
      </c>
      <c r="J16" s="2">
        <f t="shared" si="4"/>
        <v>120</v>
      </c>
      <c r="K16" s="2">
        <f t="shared" si="4"/>
        <v>120</v>
      </c>
    </row>
    <row r="17" spans="1:11" x14ac:dyDescent="0.25">
      <c r="A17" s="2" t="s">
        <v>4</v>
      </c>
      <c r="B17" s="11">
        <f t="shared" ref="B17:K17" ca="1" si="5">B16-B12+(B12*$B$5)</f>
        <v>120</v>
      </c>
      <c r="C17" s="11">
        <f t="shared" ca="1" si="5"/>
        <v>116.02611940298507</v>
      </c>
      <c r="D17" s="11">
        <f t="shared" ca="1" si="5"/>
        <v>111.70668397144712</v>
      </c>
      <c r="E17" s="11">
        <f t="shared" ca="1" si="5"/>
        <v>106.99457259158751</v>
      </c>
      <c r="F17" s="11">
        <f t="shared" ca="1" si="5"/>
        <v>101.83368869936034</v>
      </c>
      <c r="G17" s="11">
        <f t="shared" ca="1" si="5"/>
        <v>96.156716417910445</v>
      </c>
      <c r="H17" s="35">
        <f t="shared" ca="1" si="5"/>
        <v>89.882168106834257</v>
      </c>
      <c r="I17" s="11">
        <f t="shared" ca="1" si="5"/>
        <v>69.940195152659754</v>
      </c>
      <c r="J17" s="11">
        <f t="shared" ca="1" si="5"/>
        <v>61.35092499641474</v>
      </c>
      <c r="K17" s="11">
        <f t="shared" ca="1" si="5"/>
        <v>52.31884379747715</v>
      </c>
    </row>
    <row r="18" spans="1:11" ht="16.2" x14ac:dyDescent="0.35">
      <c r="A18" s="2" t="s">
        <v>53</v>
      </c>
      <c r="B18" s="8">
        <f>B!D22</f>
        <v>0.63380281690140838</v>
      </c>
      <c r="C18" s="8">
        <f t="shared" ref="C18:K18" ca="1" si="6">$B$18*(1+(1-$B$5)*C11/C24)</f>
        <v>0.67605633802816889</v>
      </c>
      <c r="D18" s="8">
        <f t="shared" ca="1" si="6"/>
        <v>0.72887323943661964</v>
      </c>
      <c r="E18" s="8">
        <f t="shared" ca="1" si="6"/>
        <v>0.79678068410462766</v>
      </c>
      <c r="F18" s="8">
        <f t="shared" ca="1" si="6"/>
        <v>0.88732394366197165</v>
      </c>
      <c r="G18" s="8">
        <f t="shared" ca="1" si="6"/>
        <v>1.0140845070422535</v>
      </c>
      <c r="H18" s="14">
        <f t="shared" ca="1" si="6"/>
        <v>1.2042253521126758</v>
      </c>
      <c r="I18" s="8">
        <f t="shared" ca="1" si="6"/>
        <v>1.5211267605633798</v>
      </c>
      <c r="J18" s="8">
        <f t="shared" ca="1" si="6"/>
        <v>2.1549295774647885</v>
      </c>
      <c r="K18" s="8">
        <f t="shared" ca="1" si="6"/>
        <v>4.0563309340577876</v>
      </c>
    </row>
    <row r="19" spans="1:11" ht="16.2" x14ac:dyDescent="0.35">
      <c r="A19" s="2" t="s">
        <v>18</v>
      </c>
      <c r="B19" s="5">
        <f t="shared" ref="B19:K19" si="7">$B$6+B18*($B$7-$B$6)</f>
        <v>9.4366197183098577E-2</v>
      </c>
      <c r="C19" s="5">
        <f t="shared" ca="1" si="7"/>
        <v>9.7323943661971821E-2</v>
      </c>
      <c r="D19" s="5">
        <f t="shared" ca="1" si="7"/>
        <v>0.10102112676056338</v>
      </c>
      <c r="E19" s="5">
        <f t="shared" ca="1" si="7"/>
        <v>0.10577464788732394</v>
      </c>
      <c r="F19" s="5">
        <f t="shared" ca="1" si="7"/>
        <v>0.11211267605633801</v>
      </c>
      <c r="G19" s="5">
        <f t="shared" ca="1" si="7"/>
        <v>0.12098591549295774</v>
      </c>
      <c r="H19" s="15">
        <f t="shared" ca="1" si="7"/>
        <v>0.13429577464788728</v>
      </c>
      <c r="I19" s="5">
        <f t="shared" ca="1" si="7"/>
        <v>0.15647887323943657</v>
      </c>
      <c r="J19" s="5">
        <f t="shared" ca="1" si="7"/>
        <v>0.20084507042253519</v>
      </c>
      <c r="K19" s="5">
        <f t="shared" ca="1" si="7"/>
        <v>0.33394316538404512</v>
      </c>
    </row>
    <row r="20" spans="1:11" ht="16.2" x14ac:dyDescent="0.35">
      <c r="A20" s="2" t="s">
        <v>20</v>
      </c>
      <c r="B20" s="33">
        <v>0.05</v>
      </c>
      <c r="C20" s="33">
        <v>0.05</v>
      </c>
      <c r="D20" s="33">
        <v>0.05</v>
      </c>
      <c r="E20" s="33">
        <v>0.05</v>
      </c>
      <c r="F20" s="33">
        <v>0.05</v>
      </c>
      <c r="G20" s="33">
        <v>0.05</v>
      </c>
      <c r="H20" s="44">
        <v>0.05</v>
      </c>
      <c r="I20" s="33">
        <f>+F38%</f>
        <v>0.08</v>
      </c>
      <c r="J20" s="33">
        <f>+F38%</f>
        <v>0.08</v>
      </c>
      <c r="K20" s="33">
        <f>+F38%</f>
        <v>0.08</v>
      </c>
    </row>
    <row r="21" spans="1:11" x14ac:dyDescent="0.25">
      <c r="A21" s="2" t="s">
        <v>5</v>
      </c>
      <c r="B21" s="34">
        <f t="shared" ref="B21:K21" ca="1" si="8">B19*(B24/(B24+B11))+B20*(1-$B$5)*(B11/(B24+B11))</f>
        <v>9.4366197183098577E-2</v>
      </c>
      <c r="C21" s="34">
        <f t="shared" ca="1" si="8"/>
        <v>9.0591549295774648E-2</v>
      </c>
      <c r="D21" s="34">
        <f t="shared" ca="1" si="8"/>
        <v>8.681690140845072E-2</v>
      </c>
      <c r="E21" s="34">
        <f t="shared" ca="1" si="8"/>
        <v>8.3042253521126749E-2</v>
      </c>
      <c r="F21" s="34">
        <f t="shared" ca="1" si="8"/>
        <v>7.9267605633802807E-2</v>
      </c>
      <c r="G21" s="34">
        <f t="shared" ca="1" si="8"/>
        <v>7.5492957746478864E-2</v>
      </c>
      <c r="H21" s="36">
        <f t="shared" ca="1" si="8"/>
        <v>7.1718309859154922E-2</v>
      </c>
      <c r="I21" s="36">
        <f t="shared" ca="1" si="8"/>
        <v>8.0543661971830965E-2</v>
      </c>
      <c r="J21" s="36">
        <f t="shared" ca="1" si="8"/>
        <v>7.8569014084507033E-2</v>
      </c>
      <c r="K21" s="36">
        <f t="shared" ca="1" si="8"/>
        <v>7.6594369880872898E-2</v>
      </c>
    </row>
    <row r="22" spans="1:11" x14ac:dyDescent="0.25">
      <c r="A22" s="2" t="s">
        <v>6</v>
      </c>
      <c r="B22" s="6">
        <f t="shared" ref="B22:K22" ca="1" si="9">B16/B21</f>
        <v>1271.6417910447763</v>
      </c>
      <c r="C22" s="6">
        <f t="shared" ca="1" si="9"/>
        <v>1324.6268656716418</v>
      </c>
      <c r="D22" s="6">
        <f t="shared" ca="1" si="9"/>
        <v>1382.2193380921476</v>
      </c>
      <c r="E22" s="6">
        <f t="shared" ca="1" si="9"/>
        <v>1445.0474898236093</v>
      </c>
      <c r="F22" s="6">
        <f t="shared" ca="1" si="9"/>
        <v>1513.8592750533051</v>
      </c>
      <c r="G22" s="6">
        <f t="shared" ca="1" si="9"/>
        <v>1589.5522388059703</v>
      </c>
      <c r="H22" s="12">
        <f t="shared" ca="1" si="9"/>
        <v>1673.212882953653</v>
      </c>
      <c r="I22" s="6">
        <f t="shared" ca="1" si="9"/>
        <v>1489.8751442660796</v>
      </c>
      <c r="J22" s="6">
        <f t="shared" ca="1" si="9"/>
        <v>1527.3196615516995</v>
      </c>
      <c r="K22" s="6">
        <f t="shared" ca="1" si="9"/>
        <v>1566.6947869227961</v>
      </c>
    </row>
    <row r="23" spans="1:11" ht="16.2" x14ac:dyDescent="0.35">
      <c r="A23" s="40" t="s">
        <v>56</v>
      </c>
      <c r="B23" s="25">
        <f t="shared" ref="B23:K23" ca="1" si="10">B17/B19+B11</f>
        <v>1271.6417910447763</v>
      </c>
      <c r="C23" s="25">
        <f t="shared" ca="1" si="10"/>
        <v>1324.6268656716418</v>
      </c>
      <c r="D23" s="25">
        <f t="shared" ca="1" si="10"/>
        <v>1382.2193380921481</v>
      </c>
      <c r="E23" s="25">
        <f t="shared" ca="1" si="10"/>
        <v>1445.0474898236093</v>
      </c>
      <c r="F23" s="25">
        <f t="shared" ca="1" si="10"/>
        <v>1513.8592750533051</v>
      </c>
      <c r="G23" s="25">
        <f t="shared" ca="1" si="10"/>
        <v>1589.5522388059703</v>
      </c>
      <c r="H23" s="26">
        <f t="shared" ca="1" si="10"/>
        <v>1673.2128829536532</v>
      </c>
      <c r="I23" s="25">
        <f t="shared" ca="1" si="10"/>
        <v>1489.8751442660791</v>
      </c>
      <c r="J23" s="25">
        <f t="shared" ca="1" si="10"/>
        <v>1527.3196615516995</v>
      </c>
      <c r="K23" s="25">
        <f t="shared" ca="1" si="10"/>
        <v>1566.6939919577262</v>
      </c>
    </row>
    <row r="24" spans="1:11" ht="16.2" x14ac:dyDescent="0.35">
      <c r="A24" s="2" t="s">
        <v>54</v>
      </c>
      <c r="B24" s="6">
        <f t="shared" ref="B24:K24" ca="1" si="11">B17/B19</f>
        <v>1271.6417910447763</v>
      </c>
      <c r="C24" s="6">
        <f t="shared" ca="1" si="11"/>
        <v>1192.1641791044776</v>
      </c>
      <c r="D24" s="6">
        <f t="shared" ca="1" si="11"/>
        <v>1105.7754704737185</v>
      </c>
      <c r="E24" s="6">
        <f t="shared" ca="1" si="11"/>
        <v>1011.5332428765265</v>
      </c>
      <c r="F24" s="6">
        <f t="shared" ca="1" si="11"/>
        <v>908.31556503198306</v>
      </c>
      <c r="G24" s="6">
        <f t="shared" ca="1" si="11"/>
        <v>794.77611940298505</v>
      </c>
      <c r="H24" s="16">
        <f t="shared" ca="1" si="11"/>
        <v>669.2851531814614</v>
      </c>
      <c r="I24" s="6">
        <f t="shared" ca="1" si="11"/>
        <v>446.96254327982393</v>
      </c>
      <c r="J24" s="6">
        <f t="shared" ca="1" si="11"/>
        <v>305.46393231033989</v>
      </c>
      <c r="K24" s="6">
        <f t="shared" ca="1" si="11"/>
        <v>156.66990440516679</v>
      </c>
    </row>
    <row r="27" spans="1:11" x14ac:dyDescent="0.25">
      <c r="B27" s="3" t="s">
        <v>57</v>
      </c>
    </row>
    <row r="29" spans="1:11" ht="18.600000000000001" x14ac:dyDescent="0.4">
      <c r="B29" s="57" t="s">
        <v>32</v>
      </c>
      <c r="C29" s="58"/>
      <c r="D29" s="46" t="s">
        <v>33</v>
      </c>
      <c r="E29" s="54" t="s">
        <v>34</v>
      </c>
      <c r="F29" s="55" t="s">
        <v>55</v>
      </c>
    </row>
    <row r="30" spans="1:11" x14ac:dyDescent="0.25">
      <c r="B30" s="52" t="s">
        <v>35</v>
      </c>
      <c r="C30" s="53" t="s">
        <v>36</v>
      </c>
      <c r="D30" s="50"/>
      <c r="E30" s="49"/>
      <c r="F30" s="56"/>
    </row>
    <row r="31" spans="1:11" x14ac:dyDescent="0.25">
      <c r="B31" s="47">
        <v>-100000</v>
      </c>
      <c r="C31" s="48">
        <v>0.5</v>
      </c>
      <c r="D31" s="32" t="s">
        <v>23</v>
      </c>
      <c r="E31" s="47"/>
      <c r="F31" s="43"/>
    </row>
    <row r="32" spans="1:11" x14ac:dyDescent="0.25">
      <c r="B32" s="47">
        <v>0.5</v>
      </c>
      <c r="C32" s="48">
        <v>0.67</v>
      </c>
      <c r="D32" s="32" t="s">
        <v>37</v>
      </c>
      <c r="E32" s="47">
        <v>15</v>
      </c>
      <c r="F32" s="43">
        <v>20</v>
      </c>
    </row>
    <row r="33" spans="2:6" x14ac:dyDescent="0.25">
      <c r="B33" s="47">
        <v>0.67</v>
      </c>
      <c r="C33" s="48">
        <v>0.87</v>
      </c>
      <c r="D33" s="32" t="s">
        <v>38</v>
      </c>
      <c r="E33" s="47">
        <v>12</v>
      </c>
      <c r="F33" s="43">
        <v>17</v>
      </c>
    </row>
    <row r="34" spans="2:6" x14ac:dyDescent="0.25">
      <c r="B34" s="47">
        <v>0.87</v>
      </c>
      <c r="C34" s="48">
        <v>1.27</v>
      </c>
      <c r="D34" s="32" t="s">
        <v>39</v>
      </c>
      <c r="E34" s="47">
        <v>10</v>
      </c>
      <c r="F34" s="43">
        <v>15</v>
      </c>
    </row>
    <row r="35" spans="2:6" x14ac:dyDescent="0.25">
      <c r="B35" s="47">
        <v>1.27</v>
      </c>
      <c r="C35" s="48">
        <v>1.57</v>
      </c>
      <c r="D35" s="32" t="s">
        <v>40</v>
      </c>
      <c r="E35" s="47">
        <v>7</v>
      </c>
      <c r="F35" s="43">
        <v>12</v>
      </c>
    </row>
    <row r="36" spans="2:6" x14ac:dyDescent="0.25">
      <c r="B36" s="47">
        <v>1.57</v>
      </c>
      <c r="C36" s="48">
        <v>1.87</v>
      </c>
      <c r="D36" s="32" t="s">
        <v>41</v>
      </c>
      <c r="E36" s="47">
        <v>5</v>
      </c>
      <c r="F36" s="43">
        <v>10</v>
      </c>
    </row>
    <row r="37" spans="2:6" x14ac:dyDescent="0.25">
      <c r="B37" s="47">
        <v>1.87</v>
      </c>
      <c r="C37" s="48">
        <v>2.17</v>
      </c>
      <c r="D37" s="32" t="s">
        <v>42</v>
      </c>
      <c r="E37" s="47">
        <v>3.5</v>
      </c>
      <c r="F37" s="43">
        <v>8.5</v>
      </c>
    </row>
    <row r="38" spans="2:6" x14ac:dyDescent="0.25">
      <c r="B38" s="47">
        <v>2.17</v>
      </c>
      <c r="C38" s="48">
        <v>2.76</v>
      </c>
      <c r="D38" s="32" t="s">
        <v>43</v>
      </c>
      <c r="E38" s="47">
        <v>3</v>
      </c>
      <c r="F38" s="43">
        <v>8</v>
      </c>
    </row>
    <row r="39" spans="2:6" x14ac:dyDescent="0.25">
      <c r="B39" s="47">
        <v>2.76</v>
      </c>
      <c r="C39" s="48">
        <v>3.29</v>
      </c>
      <c r="D39" s="32" t="s">
        <v>44</v>
      </c>
      <c r="E39" s="47">
        <v>2.5</v>
      </c>
      <c r="F39" s="43">
        <v>7.5</v>
      </c>
    </row>
    <row r="40" spans="2:6" x14ac:dyDescent="0.25">
      <c r="B40" s="49">
        <v>3.29</v>
      </c>
      <c r="C40" s="51">
        <v>100000</v>
      </c>
      <c r="D40" s="50" t="s">
        <v>45</v>
      </c>
      <c r="E40" s="49">
        <v>0</v>
      </c>
      <c r="F40" s="56">
        <v>5</v>
      </c>
    </row>
  </sheetData>
  <mergeCells count="1">
    <mergeCell ref="B29:C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</vt:lpstr>
      <vt:lpstr>C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NN</dc:creator>
  <cp:lastModifiedBy>Marcelo Delfino</cp:lastModifiedBy>
  <dcterms:created xsi:type="dcterms:W3CDTF">2009-08-30T15:03:26Z</dcterms:created>
  <dcterms:modified xsi:type="dcterms:W3CDTF">2026-03-09T15:06:35Z</dcterms:modified>
</cp:coreProperties>
</file>